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отчет" sheetId="1" r:id="rId1"/>
    <sheet name="расшифровка ФОТ" sheetId="2" r:id="rId2"/>
    <sheet name="провайдеры" sheetId="4" r:id="rId3"/>
    <sheet name="Лист1" sheetId="5" r:id="rId4"/>
  </sheets>
  <calcPr calcId="124519" refMode="R1C1"/>
</workbook>
</file>

<file path=xl/calcChain.xml><?xml version="1.0" encoding="utf-8"?>
<calcChain xmlns="http://schemas.openxmlformats.org/spreadsheetml/2006/main">
  <c r="E63" i="1"/>
  <c r="D63"/>
  <c r="B60"/>
  <c r="B61" s="1"/>
  <c r="B58"/>
  <c r="B59"/>
  <c r="B57"/>
  <c r="D59"/>
  <c r="C59"/>
  <c r="E57"/>
  <c r="E21"/>
  <c r="D21"/>
  <c r="C21"/>
  <c r="E14"/>
  <c r="E13" s="1"/>
  <c r="E11"/>
  <c r="D14"/>
  <c r="D13" s="1"/>
  <c r="C12"/>
  <c r="C11" s="1"/>
  <c r="D11"/>
  <c r="C14"/>
  <c r="C13" s="1"/>
  <c r="B18"/>
  <c r="B17"/>
  <c r="G8" i="4"/>
  <c r="G11" s="1"/>
  <c r="D8"/>
  <c r="I8"/>
  <c r="I11" s="1"/>
  <c r="I9"/>
  <c r="I10"/>
  <c r="F8"/>
  <c r="F11" s="1"/>
  <c r="F9"/>
  <c r="F10"/>
  <c r="J11"/>
  <c r="C8"/>
  <c r="C9"/>
  <c r="C10"/>
  <c r="L7"/>
  <c r="L9"/>
  <c r="L10"/>
  <c r="K7"/>
  <c r="K9"/>
  <c r="I7"/>
  <c r="F7"/>
  <c r="C7"/>
  <c r="L6"/>
  <c r="K6"/>
  <c r="I6"/>
  <c r="F6"/>
  <c r="C6"/>
  <c r="L8" l="1"/>
  <c r="L11" s="1"/>
  <c r="D11"/>
  <c r="K8"/>
  <c r="C11"/>
  <c r="K11" s="1"/>
  <c r="K10"/>
  <c r="B32" i="1"/>
  <c r="E20"/>
  <c r="B20" s="1"/>
  <c r="D20"/>
  <c r="B43"/>
  <c r="C46"/>
  <c r="B46" s="1"/>
  <c r="B42"/>
  <c r="B51"/>
  <c r="B50"/>
  <c r="B49"/>
  <c r="B55"/>
  <c r="B52"/>
  <c r="B31"/>
  <c r="B44"/>
  <c r="B14"/>
  <c r="D10"/>
  <c r="E10"/>
  <c r="C10"/>
  <c r="B15"/>
  <c r="B11"/>
  <c r="E21" i="2"/>
  <c r="D18"/>
  <c r="E18" s="1"/>
  <c r="D19"/>
  <c r="E19" s="1"/>
  <c r="D20"/>
  <c r="E20" s="1"/>
  <c r="D21"/>
  <c r="D17"/>
  <c r="E17" s="1"/>
  <c r="D6"/>
  <c r="E6" s="1"/>
  <c r="D7"/>
  <c r="E7" s="1"/>
  <c r="D8"/>
  <c r="E8" s="1"/>
  <c r="D9"/>
  <c r="E9" s="1"/>
  <c r="D10"/>
  <c r="E10" s="1"/>
  <c r="D11"/>
  <c r="E11" s="1"/>
  <c r="D12"/>
  <c r="E12" s="1"/>
  <c r="D5"/>
  <c r="E5" s="1"/>
  <c r="C22"/>
  <c r="B22"/>
  <c r="B13"/>
  <c r="C13"/>
  <c r="F20" l="1"/>
  <c r="B10" i="1"/>
  <c r="B12"/>
  <c r="F5" i="2"/>
  <c r="F6"/>
  <c r="F10"/>
  <c r="F8"/>
  <c r="F11"/>
  <c r="D22"/>
  <c r="F19"/>
  <c r="F21"/>
  <c r="E22"/>
  <c r="F18"/>
  <c r="F12"/>
  <c r="F9"/>
  <c r="F7"/>
  <c r="D13"/>
  <c r="B13" i="1"/>
  <c r="B21" s="1"/>
  <c r="B64" l="1"/>
  <c r="F13" i="2"/>
  <c r="F17"/>
  <c r="F22" s="1"/>
  <c r="E13"/>
  <c r="E25" i="1" l="1"/>
  <c r="E26" s="1"/>
  <c r="D25"/>
  <c r="D26" s="1"/>
  <c r="C25"/>
  <c r="E8"/>
  <c r="D8"/>
  <c r="C8"/>
  <c r="E27" l="1"/>
  <c r="E28"/>
  <c r="E45"/>
  <c r="E32"/>
  <c r="D28"/>
  <c r="D27"/>
  <c r="D45"/>
  <c r="D32"/>
  <c r="E56"/>
  <c r="E54"/>
  <c r="E53"/>
  <c r="E55"/>
  <c r="E52"/>
  <c r="D54"/>
  <c r="D56"/>
  <c r="D53"/>
  <c r="D55"/>
  <c r="D52"/>
  <c r="E31"/>
  <c r="E30"/>
  <c r="E48"/>
  <c r="E29"/>
  <c r="E47"/>
  <c r="E44"/>
  <c r="D30"/>
  <c r="D48"/>
  <c r="D29"/>
  <c r="D47"/>
  <c r="D31"/>
  <c r="D44"/>
  <c r="B8"/>
  <c r="B25"/>
  <c r="C26"/>
  <c r="C28" l="1"/>
  <c r="C27"/>
  <c r="C45"/>
  <c r="C32"/>
  <c r="D61"/>
  <c r="D64" s="1"/>
  <c r="C53"/>
  <c r="C54"/>
  <c r="C56"/>
  <c r="C55"/>
  <c r="C52"/>
  <c r="E61"/>
  <c r="E64" s="1"/>
  <c r="C48"/>
  <c r="C29"/>
  <c r="C47"/>
  <c r="C31"/>
  <c r="C30"/>
  <c r="C44"/>
  <c r="B26"/>
  <c r="C61" l="1"/>
  <c r="C64" s="1"/>
</calcChain>
</file>

<file path=xl/sharedStrings.xml><?xml version="1.0" encoding="utf-8"?>
<sst xmlns="http://schemas.openxmlformats.org/spreadsheetml/2006/main" count="115" uniqueCount="90">
  <si>
    <t>Техниеское обслуживание</t>
  </si>
  <si>
    <t>Начислено</t>
  </si>
  <si>
    <t>Дома</t>
  </si>
  <si>
    <t>Расходы</t>
  </si>
  <si>
    <t>итого затрат</t>
  </si>
  <si>
    <t>Контур (сдача отчетности)</t>
  </si>
  <si>
    <t>Канцтовары</t>
  </si>
  <si>
    <t>Концентрат минеральный</t>
  </si>
  <si>
    <t>Проведение новогоднего праздника</t>
  </si>
  <si>
    <t>оплачено</t>
  </si>
  <si>
    <t>Жители</t>
  </si>
  <si>
    <t xml:space="preserve"> ФОТ АУП</t>
  </si>
  <si>
    <t>наименованоние должности</t>
  </si>
  <si>
    <t>Страховые взосы</t>
  </si>
  <si>
    <t>Затраты в год</t>
  </si>
  <si>
    <t>Генеральный директор</t>
  </si>
  <si>
    <t>Главный бухгалтер</t>
  </si>
  <si>
    <t>Юрист</t>
  </si>
  <si>
    <t>Бухгалтер РКЦ</t>
  </si>
  <si>
    <t>Экономист</t>
  </si>
  <si>
    <t>Главный инженер</t>
  </si>
  <si>
    <t>Специалист договорного отдела</t>
  </si>
  <si>
    <t>ИТОГО</t>
  </si>
  <si>
    <t>Количество штатных единиц</t>
  </si>
  <si>
    <t>Оклад</t>
  </si>
  <si>
    <t>ФОТ в месяц</t>
  </si>
  <si>
    <t xml:space="preserve"> ФОТ РАБОЧИЕ</t>
  </si>
  <si>
    <t>Специалист АДС</t>
  </si>
  <si>
    <t>Электрик</t>
  </si>
  <si>
    <t>Сантехник</t>
  </si>
  <si>
    <t>Дворник</t>
  </si>
  <si>
    <t>Уборщица</t>
  </si>
  <si>
    <t>Расшифровка Фонда оплаты труда</t>
  </si>
  <si>
    <t>Вывоз снега</t>
  </si>
  <si>
    <t xml:space="preserve">       Отчет </t>
  </si>
  <si>
    <t>управляющей организации  ООО "ЭкоМир"</t>
  </si>
  <si>
    <t>Общая площадь дома</t>
  </si>
  <si>
    <t>Застройщик</t>
  </si>
  <si>
    <t>Всего собрано средств за год (техническое обслуживание+платные услуги)</t>
  </si>
  <si>
    <t>Заработная плата+начисления на ФОТ АУП</t>
  </si>
  <si>
    <t>Заработная плата+начисления на ФОТ Рабочие</t>
  </si>
  <si>
    <t>Начисления</t>
  </si>
  <si>
    <t>Процент распределения затрат пропорцианольно площади</t>
  </si>
  <si>
    <t>Аренда офисного помещения</t>
  </si>
  <si>
    <t>Общая площадь           дома</t>
  </si>
  <si>
    <t>Итого затрат в год</t>
  </si>
  <si>
    <t>Провайдеры</t>
  </si>
  <si>
    <t>ООО "Дрим Лайн"</t>
  </si>
  <si>
    <t>12/1</t>
  </si>
  <si>
    <t>Расшифровка платы взымаемой с интернет-провайдеров</t>
  </si>
  <si>
    <t>ПАО "Ростелеком"</t>
  </si>
  <si>
    <t>ООО "Зенком"</t>
  </si>
  <si>
    <t>ООО "Новая линия"</t>
  </si>
  <si>
    <t>ООО "Объединенные сети"</t>
  </si>
  <si>
    <t>Почтовые услуги</t>
  </si>
  <si>
    <t>Светильники</t>
  </si>
  <si>
    <t>Зеркало в лифт</t>
  </si>
  <si>
    <t>Циркуляционный насос</t>
  </si>
  <si>
    <t>Мотор в ИТП</t>
  </si>
  <si>
    <t>Столбик бетонируемый</t>
  </si>
  <si>
    <t>Паспортно-регистрационные услуги</t>
  </si>
  <si>
    <t>Леруа</t>
  </si>
  <si>
    <t>Покрытие ковровое щетинистое</t>
  </si>
  <si>
    <t>Банковские услуги</t>
  </si>
  <si>
    <t>подотчетные лица</t>
  </si>
  <si>
    <t>Ремонт лифтового оборудования</t>
  </si>
  <si>
    <t>по услугам, предоставляемым за отчетный период 2019 г.</t>
  </si>
  <si>
    <t>Госпошлина за рассмотрение судебных исков, выписки из ЕГРН</t>
  </si>
  <si>
    <t>Обслуживание программы "1С", Сайт УК (личные кабинеты), Бурмистр.ру</t>
  </si>
  <si>
    <t>Специальная оценка условий труда</t>
  </si>
  <si>
    <t>Детский спортивный комплекс</t>
  </si>
  <si>
    <t>Жесткий диск для ситемы видеонаблюдения</t>
  </si>
  <si>
    <t>Принтер</t>
  </si>
  <si>
    <t xml:space="preserve">Дверь металлическая </t>
  </si>
  <si>
    <t>Ремонт входной группы (ИП Лабунец)</t>
  </si>
  <si>
    <t>Установка циркуляционного насоса</t>
  </si>
  <si>
    <t>Материалы для обслуживания  ремонта МКД</t>
  </si>
  <si>
    <t>Виропрессовая тротуарная плитка</t>
  </si>
  <si>
    <t>Субсидии на ремонт подъездов</t>
  </si>
  <si>
    <t>Субсидии</t>
  </si>
  <si>
    <t>Делопроизводитель</t>
  </si>
  <si>
    <t>Плата за месяц</t>
  </si>
  <si>
    <t>Начислено за год</t>
  </si>
  <si>
    <t>Итого начислено</t>
  </si>
  <si>
    <t>Оплачено за год</t>
  </si>
  <si>
    <t>ХХХХХХХХХХХ</t>
  </si>
  <si>
    <t>Замена прокладок на теплообменнках в ИТП</t>
  </si>
  <si>
    <t>Санитарная обработка МОП</t>
  </si>
  <si>
    <t>Итого собрано</t>
  </si>
  <si>
    <t>Замена клапана мусоропровода</t>
  </si>
</sst>
</file>

<file path=xl/styles.xml><?xml version="1.0" encoding="utf-8"?>
<styleSheet xmlns="http://schemas.openxmlformats.org/spreadsheetml/2006/main">
  <numFmts count="1">
    <numFmt numFmtId="164" formatCode="000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2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i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164" fontId="0" fillId="0" borderId="0" xfId="0" applyNumberFormat="1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0" fillId="0" borderId="1" xfId="0" applyFill="1" applyBorder="1"/>
    <xf numFmtId="0" fontId="0" fillId="0" borderId="1" xfId="0" applyBorder="1" applyAlignment="1">
      <alignment wrapText="1"/>
    </xf>
    <xf numFmtId="0" fontId="1" fillId="0" borderId="1" xfId="0" applyFont="1" applyBorder="1"/>
    <xf numFmtId="4" fontId="1" fillId="0" borderId="1" xfId="0" applyNumberFormat="1" applyFont="1" applyBorder="1"/>
    <xf numFmtId="4" fontId="0" fillId="0" borderId="1" xfId="0" applyNumberFormat="1" applyFont="1" applyBorder="1"/>
    <xf numFmtId="0" fontId="0" fillId="0" borderId="0" xfId="0" applyFill="1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" fontId="1" fillId="0" borderId="0" xfId="0" applyNumberFormat="1" applyFont="1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/>
    <xf numFmtId="0" fontId="1" fillId="0" borderId="1" xfId="0" applyFont="1" applyFill="1" applyBorder="1" applyAlignment="1">
      <alignment wrapText="1"/>
    </xf>
    <xf numFmtId="4" fontId="1" fillId="0" borderId="1" xfId="0" applyNumberFormat="1" applyFont="1" applyBorder="1" applyAlignment="1">
      <alignment vertical="center"/>
    </xf>
    <xf numFmtId="0" fontId="1" fillId="0" borderId="6" xfId="0" applyFont="1" applyBorder="1" applyAlignment="1">
      <alignment horizontal="center"/>
    </xf>
    <xf numFmtId="10" fontId="0" fillId="0" borderId="1" xfId="0" applyNumberFormat="1" applyBorder="1" applyAlignment="1">
      <alignment horizontal="center" vertical="center"/>
    </xf>
    <xf numFmtId="0" fontId="0" fillId="0" borderId="0" xfId="0" applyAlignment="1"/>
    <xf numFmtId="49" fontId="1" fillId="0" borderId="1" xfId="0" applyNumberFormat="1" applyFont="1" applyBorder="1" applyAlignment="1">
      <alignment horizontal="center"/>
    </xf>
    <xf numFmtId="0" fontId="7" fillId="0" borderId="0" xfId="0" applyFont="1"/>
    <xf numFmtId="0" fontId="0" fillId="2" borderId="1" xfId="0" applyFill="1" applyBorder="1"/>
    <xf numFmtId="4" fontId="8" fillId="0" borderId="1" xfId="0" applyNumberFormat="1" applyFont="1" applyBorder="1"/>
    <xf numFmtId="0" fontId="8" fillId="0" borderId="0" xfId="0" applyFont="1"/>
    <xf numFmtId="49" fontId="4" fillId="0" borderId="1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/>
    <xf numFmtId="4" fontId="3" fillId="0" borderId="1" xfId="0" applyNumberFormat="1" applyFont="1" applyBorder="1"/>
    <xf numFmtId="0" fontId="8" fillId="0" borderId="1" xfId="0" applyFont="1" applyFill="1" applyBorder="1"/>
    <xf numFmtId="0" fontId="8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4" fontId="3" fillId="3" borderId="1" xfId="0" applyNumberFormat="1" applyFont="1" applyFill="1" applyBorder="1" applyAlignment="1">
      <alignment horizontal="right"/>
    </xf>
    <xf numFmtId="4" fontId="0" fillId="0" borderId="1" xfId="0" applyNumberFormat="1" applyFill="1" applyBorder="1"/>
    <xf numFmtId="4" fontId="0" fillId="0" borderId="1" xfId="0" applyNumberFormat="1" applyFill="1" applyBorder="1" applyAlignment="1">
      <alignment horizontal="right"/>
    </xf>
    <xf numFmtId="4" fontId="0" fillId="3" borderId="1" xfId="0" applyNumberFormat="1" applyFill="1" applyBorder="1"/>
    <xf numFmtId="4" fontId="0" fillId="3" borderId="1" xfId="0" applyNumberFormat="1" applyFill="1" applyBorder="1" applyAlignment="1">
      <alignment horizontal="right"/>
    </xf>
    <xf numFmtId="4" fontId="0" fillId="0" borderId="1" xfId="0" applyNumberFormat="1" applyFill="1" applyBorder="1" applyAlignment="1">
      <alignment horizontal="right" vertical="center"/>
    </xf>
    <xf numFmtId="4" fontId="0" fillId="0" borderId="6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topLeftCell="A43" workbookViewId="0">
      <selection activeCell="A2" sqref="A2:E61"/>
    </sheetView>
  </sheetViews>
  <sheetFormatPr defaultRowHeight="15"/>
  <cols>
    <col min="1" max="1" width="37" customWidth="1"/>
    <col min="2" max="2" width="21.85546875" customWidth="1"/>
    <col min="3" max="3" width="18.28515625" customWidth="1"/>
    <col min="4" max="5" width="17.85546875" customWidth="1"/>
    <col min="6" max="6" width="20" customWidth="1"/>
  </cols>
  <sheetData>
    <row r="1" spans="1:9" s="22" customFormat="1" ht="15.75" customHeight="1">
      <c r="C1" s="24"/>
      <c r="D1" s="24"/>
      <c r="E1" s="23"/>
    </row>
    <row r="2" spans="1:9" s="22" customFormat="1" ht="15.75" customHeight="1">
      <c r="A2" s="60" t="s">
        <v>34</v>
      </c>
      <c r="B2" s="60"/>
      <c r="C2" s="60"/>
      <c r="D2" s="60"/>
      <c r="E2" s="60"/>
      <c r="F2" s="25"/>
      <c r="G2" s="25"/>
      <c r="H2" s="25"/>
      <c r="I2" s="25"/>
    </row>
    <row r="3" spans="1:9" s="22" customFormat="1" ht="15.75" customHeight="1">
      <c r="A3" s="61" t="s">
        <v>35</v>
      </c>
      <c r="B3" s="61"/>
      <c r="C3" s="61"/>
      <c r="D3" s="61"/>
      <c r="E3" s="61"/>
      <c r="F3" s="26"/>
      <c r="G3" s="26"/>
      <c r="H3" s="26"/>
      <c r="I3" s="26"/>
    </row>
    <row r="4" spans="1:9" s="22" customFormat="1" ht="15.75">
      <c r="A4" s="62" t="s">
        <v>66</v>
      </c>
      <c r="B4" s="62"/>
      <c r="C4" s="62"/>
      <c r="D4" s="62"/>
      <c r="E4" s="62"/>
      <c r="F4" s="27"/>
      <c r="G4" s="27"/>
      <c r="H4" s="27"/>
      <c r="I4" s="27"/>
    </row>
    <row r="6" spans="1:9">
      <c r="A6" s="65" t="s">
        <v>41</v>
      </c>
      <c r="B6" s="64" t="s">
        <v>44</v>
      </c>
      <c r="C6" s="54" t="s">
        <v>2</v>
      </c>
      <c r="D6" s="54"/>
      <c r="E6" s="55"/>
    </row>
    <row r="7" spans="1:9">
      <c r="A7" s="66"/>
      <c r="B7" s="64"/>
      <c r="C7" s="30">
        <v>12</v>
      </c>
      <c r="D7" s="33" t="s">
        <v>48</v>
      </c>
      <c r="E7" s="20">
        <v>16</v>
      </c>
    </row>
    <row r="8" spans="1:9">
      <c r="A8" s="67"/>
      <c r="B8" s="15">
        <f>C8+D8+E8</f>
        <v>32931.699999999997</v>
      </c>
      <c r="C8" s="52">
        <f>14451.9+1452.7</f>
        <v>15904.6</v>
      </c>
      <c r="D8" s="53">
        <f>8003.7+808.4</f>
        <v>8812.1</v>
      </c>
      <c r="E8" s="53">
        <f>7112.5+1102.5</f>
        <v>8215</v>
      </c>
    </row>
    <row r="9" spans="1:9">
      <c r="A9" s="63" t="s">
        <v>0</v>
      </c>
      <c r="B9" s="54"/>
      <c r="C9" s="54"/>
      <c r="D9" s="54"/>
      <c r="E9" s="55"/>
    </row>
    <row r="10" spans="1:9">
      <c r="A10" s="9" t="s">
        <v>1</v>
      </c>
      <c r="B10" s="10">
        <f>C10+D10+E10</f>
        <v>13700687.779999999</v>
      </c>
      <c r="C10" s="10">
        <f>C11+C12</f>
        <v>6995862.8899999997</v>
      </c>
      <c r="D10" s="10">
        <f t="shared" ref="D10:E10" si="0">D11+D12</f>
        <v>3590993.54</v>
      </c>
      <c r="E10" s="10">
        <f t="shared" si="0"/>
        <v>3113831.35</v>
      </c>
    </row>
    <row r="11" spans="1:9">
      <c r="A11" s="2" t="s">
        <v>10</v>
      </c>
      <c r="B11" s="11">
        <f>C11+D11+E11</f>
        <v>12765352.529999999</v>
      </c>
      <c r="C11" s="3">
        <f>6995862.89-C12</f>
        <v>6107316.5199999996</v>
      </c>
      <c r="D11" s="3">
        <f>3590993.54-D12</f>
        <v>3554465.5</v>
      </c>
      <c r="E11" s="3">
        <f>3113831.35-E12</f>
        <v>3103570.5100000002</v>
      </c>
    </row>
    <row r="12" spans="1:9">
      <c r="A12" s="2" t="s">
        <v>37</v>
      </c>
      <c r="B12" s="11">
        <f>C12+D12+E12</f>
        <v>935335.25</v>
      </c>
      <c r="C12" s="3">
        <f>580410.52+308135.85</f>
        <v>888546.37</v>
      </c>
      <c r="D12" s="3">
        <v>36528.04</v>
      </c>
      <c r="E12" s="3">
        <v>10260.84</v>
      </c>
    </row>
    <row r="13" spans="1:9">
      <c r="A13" s="9" t="s">
        <v>9</v>
      </c>
      <c r="B13" s="10">
        <f t="shared" ref="B13:B15" si="1">C13+D13+E13</f>
        <v>12886046.050000001</v>
      </c>
      <c r="C13" s="10">
        <f>C14+C15</f>
        <v>6214926.5199999996</v>
      </c>
      <c r="D13" s="10">
        <f>D14+D15</f>
        <v>3650300.66</v>
      </c>
      <c r="E13" s="10">
        <f>E14+E15</f>
        <v>3020818.87</v>
      </c>
    </row>
    <row r="14" spans="1:9">
      <c r="A14" s="2" t="s">
        <v>10</v>
      </c>
      <c r="B14" s="11">
        <f>C14+D14+E14</f>
        <v>12649167.629999999</v>
      </c>
      <c r="C14" s="3">
        <f>6214926.52-C15</f>
        <v>6012288.9699999997</v>
      </c>
      <c r="D14" s="3">
        <f>3650300.66-D15</f>
        <v>3621249.64</v>
      </c>
      <c r="E14" s="3">
        <f>3020818.87-E15</f>
        <v>3015629.02</v>
      </c>
    </row>
    <row r="15" spans="1:9" ht="15.75" customHeight="1">
      <c r="A15" s="2" t="s">
        <v>37</v>
      </c>
      <c r="B15" s="11">
        <f t="shared" si="1"/>
        <v>236878.41999999998</v>
      </c>
      <c r="C15" s="3">
        <v>202637.55</v>
      </c>
      <c r="D15" s="3">
        <v>29051.02</v>
      </c>
      <c r="E15" s="3">
        <v>5189.8500000000004</v>
      </c>
    </row>
    <row r="16" spans="1:9">
      <c r="A16" s="63" t="s">
        <v>46</v>
      </c>
      <c r="B16" s="54"/>
      <c r="C16" s="54"/>
      <c r="D16" s="54"/>
      <c r="E16" s="55"/>
    </row>
    <row r="17" spans="1:7">
      <c r="A17" s="2" t="s">
        <v>1</v>
      </c>
      <c r="B17" s="11">
        <f>C17+D17+E17</f>
        <v>112287</v>
      </c>
      <c r="C17" s="11">
        <v>43851</v>
      </c>
      <c r="D17" s="11">
        <v>38436</v>
      </c>
      <c r="E17" s="11">
        <v>30000</v>
      </c>
    </row>
    <row r="18" spans="1:7">
      <c r="A18" s="2" t="s">
        <v>9</v>
      </c>
      <c r="B18" s="11">
        <f>C18+D18+E18</f>
        <v>102212.25</v>
      </c>
      <c r="C18" s="11">
        <v>38888.25</v>
      </c>
      <c r="D18" s="11">
        <v>34824</v>
      </c>
      <c r="E18" s="11">
        <v>28500</v>
      </c>
    </row>
    <row r="19" spans="1:7">
      <c r="A19" s="63" t="s">
        <v>78</v>
      </c>
      <c r="B19" s="54"/>
      <c r="C19" s="54"/>
      <c r="D19" s="54"/>
      <c r="E19" s="55"/>
    </row>
    <row r="20" spans="1:7">
      <c r="A20" s="7" t="s">
        <v>79</v>
      </c>
      <c r="B20" s="10">
        <f>D20+E20</f>
        <v>1008358.5</v>
      </c>
      <c r="C20" s="11">
        <v>0</v>
      </c>
      <c r="D20" s="11">
        <f>(50645.64+210414.36)*2</f>
        <v>522120</v>
      </c>
      <c r="E20" s="11">
        <f>50645.64+210414.36+43684.63+181493.87</f>
        <v>486238.5</v>
      </c>
    </row>
    <row r="21" spans="1:7" ht="45">
      <c r="A21" s="28" t="s">
        <v>38</v>
      </c>
      <c r="B21" s="29">
        <f>B13+B18+B20</f>
        <v>13996616.800000001</v>
      </c>
      <c r="C21" s="29">
        <f>C13+C18</f>
        <v>6253814.7699999996</v>
      </c>
      <c r="D21" s="29">
        <f>D13+D18+D20</f>
        <v>4207244.66</v>
      </c>
      <c r="E21" s="29">
        <f>E13+E18+E20</f>
        <v>3535557.37</v>
      </c>
      <c r="F21" s="4"/>
    </row>
    <row r="23" spans="1:7">
      <c r="A23" s="56" t="s">
        <v>3</v>
      </c>
      <c r="B23" s="58" t="s">
        <v>4</v>
      </c>
      <c r="C23" s="57" t="s">
        <v>2</v>
      </c>
      <c r="D23" s="57"/>
      <c r="E23" s="57"/>
    </row>
    <row r="24" spans="1:7">
      <c r="A24" s="56"/>
      <c r="B24" s="59"/>
      <c r="C24" s="18">
        <v>12</v>
      </c>
      <c r="D24" s="33" t="s">
        <v>48</v>
      </c>
      <c r="E24" s="18">
        <v>16</v>
      </c>
    </row>
    <row r="25" spans="1:7" ht="15.75" customHeight="1">
      <c r="A25" s="19" t="s">
        <v>36</v>
      </c>
      <c r="B25" s="14">
        <f>C25+D25+E25</f>
        <v>32931.699999999997</v>
      </c>
      <c r="C25" s="5">
        <f>14451.9+1452.7</f>
        <v>15904.6</v>
      </c>
      <c r="D25" s="5">
        <f>8003.7+808.4</f>
        <v>8812.1</v>
      </c>
      <c r="E25" s="5">
        <f>7112.5+1102.5</f>
        <v>8215</v>
      </c>
    </row>
    <row r="26" spans="1:7" ht="30" customHeight="1">
      <c r="A26" s="17" t="s">
        <v>42</v>
      </c>
      <c r="B26" s="31">
        <f>C26+D26+E26</f>
        <v>1.0000000000000002</v>
      </c>
      <c r="C26" s="31">
        <f>C25/32931.7</f>
        <v>0.4829571507088915</v>
      </c>
      <c r="D26" s="31">
        <f t="shared" ref="D26:E26" si="2">D25/32931.7</f>
        <v>0.26758715766267765</v>
      </c>
      <c r="E26" s="31">
        <f t="shared" si="2"/>
        <v>0.24945569162843098</v>
      </c>
    </row>
    <row r="27" spans="1:7" ht="30" customHeight="1">
      <c r="A27" s="8" t="s">
        <v>39</v>
      </c>
      <c r="B27" s="47">
        <v>6327720</v>
      </c>
      <c r="C27" s="48">
        <f>B27*C26</f>
        <v>3056017.6216836669</v>
      </c>
      <c r="D27" s="48">
        <f>B27*D26</f>
        <v>1693216.6092852787</v>
      </c>
      <c r="E27" s="48">
        <f>B27*E26</f>
        <v>1578485.7690310553</v>
      </c>
      <c r="G27" s="1"/>
    </row>
    <row r="28" spans="1:7" ht="30" customHeight="1">
      <c r="A28" s="8" t="s">
        <v>40</v>
      </c>
      <c r="B28" s="47">
        <v>3421656</v>
      </c>
      <c r="C28" s="48">
        <f>B28*C26</f>
        <v>1652513.2324659829</v>
      </c>
      <c r="D28" s="48">
        <f>B28*D26</f>
        <v>915591.20353944693</v>
      </c>
      <c r="E28" s="48">
        <f>B28*E26</f>
        <v>853551.56399457064</v>
      </c>
      <c r="G28" s="1"/>
    </row>
    <row r="29" spans="1:7" ht="15" customHeight="1">
      <c r="A29" s="2" t="s">
        <v>54</v>
      </c>
      <c r="B29" s="47">
        <v>17384.509999999998</v>
      </c>
      <c r="C29" s="51">
        <f>B29*C26</f>
        <v>8395.9734160702301</v>
      </c>
      <c r="D29" s="51">
        <f>B29*D26</f>
        <v>4651.8716182583958</v>
      </c>
      <c r="E29" s="51">
        <f>B29*E26</f>
        <v>4336.6649656713744</v>
      </c>
      <c r="F29" s="4"/>
    </row>
    <row r="30" spans="1:7" ht="15" customHeight="1">
      <c r="A30" s="2" t="s">
        <v>63</v>
      </c>
      <c r="B30" s="47">
        <v>522435.96</v>
      </c>
      <c r="C30" s="51">
        <f>B30*C26</f>
        <v>252314.18266946441</v>
      </c>
      <c r="D30" s="51">
        <f>B30*D26</f>
        <v>139797.15359717235</v>
      </c>
      <c r="E30" s="51">
        <f>B30*E26</f>
        <v>130324.6237333633</v>
      </c>
      <c r="F30" s="4"/>
    </row>
    <row r="31" spans="1:7" ht="28.5" customHeight="1">
      <c r="A31" s="8" t="s">
        <v>67</v>
      </c>
      <c r="B31" s="48">
        <f>86622+3002</f>
        <v>89624</v>
      </c>
      <c r="C31" s="48">
        <f>B31*C26</f>
        <v>43284.551675133691</v>
      </c>
      <c r="D31" s="48">
        <f>B31*D26</f>
        <v>23982.231418359821</v>
      </c>
      <c r="E31" s="48">
        <f>B31*E26</f>
        <v>22357.216906506499</v>
      </c>
      <c r="F31" s="4"/>
    </row>
    <row r="32" spans="1:7" ht="33" customHeight="1">
      <c r="A32" s="8" t="s">
        <v>76</v>
      </c>
      <c r="B32" s="47">
        <f>6400+11755.5+11056+28860+13200+13200+61454.87+2346+5096+28500+7200+4750+3216265.17+95131.9</f>
        <v>3505215.44</v>
      </c>
      <c r="C32" s="48">
        <f>B32*C26</f>
        <v>1692868.8615232133</v>
      </c>
      <c r="D32" s="48">
        <f>B32*D26</f>
        <v>937950.63658493198</v>
      </c>
      <c r="E32" s="48">
        <f>B32*E26</f>
        <v>874395.94189185498</v>
      </c>
    </row>
    <row r="33" spans="1:6" ht="15" hidden="1" customHeight="1">
      <c r="A33" s="35" t="s">
        <v>64</v>
      </c>
      <c r="B33" s="47"/>
      <c r="C33" s="48"/>
      <c r="D33" s="48"/>
      <c r="E33" s="48"/>
    </row>
    <row r="34" spans="1:6" ht="15" hidden="1" customHeight="1">
      <c r="A34" s="35" t="s">
        <v>55</v>
      </c>
      <c r="B34" s="47"/>
      <c r="C34" s="48"/>
      <c r="D34" s="48"/>
      <c r="E34" s="48"/>
    </row>
    <row r="35" spans="1:6" ht="15" hidden="1" customHeight="1">
      <c r="A35" s="35" t="s">
        <v>56</v>
      </c>
      <c r="B35" s="47"/>
      <c r="C35" s="48"/>
      <c r="D35" s="48"/>
      <c r="E35" s="48"/>
    </row>
    <row r="36" spans="1:6" ht="15" hidden="1" customHeight="1">
      <c r="A36" s="35" t="s">
        <v>57</v>
      </c>
      <c r="B36" s="47"/>
      <c r="C36" s="48"/>
      <c r="D36" s="48"/>
      <c r="E36" s="48"/>
    </row>
    <row r="37" spans="1:6" ht="15" hidden="1" customHeight="1">
      <c r="A37" s="35" t="s">
        <v>58</v>
      </c>
      <c r="B37" s="47"/>
      <c r="C37" s="48"/>
      <c r="D37" s="48"/>
      <c r="E37" s="48"/>
    </row>
    <row r="38" spans="1:6" ht="15" hidden="1" customHeight="1">
      <c r="A38" s="35" t="s">
        <v>59</v>
      </c>
      <c r="B38" s="47"/>
      <c r="C38" s="48"/>
      <c r="D38" s="48"/>
      <c r="E38" s="48"/>
    </row>
    <row r="39" spans="1:6" ht="15" hidden="1" customHeight="1">
      <c r="A39" s="35" t="s">
        <v>61</v>
      </c>
      <c r="B39" s="47"/>
      <c r="C39" s="48"/>
      <c r="D39" s="48"/>
      <c r="E39" s="48"/>
    </row>
    <row r="40" spans="1:6" ht="15" hidden="1" customHeight="1">
      <c r="A40" s="35" t="s">
        <v>7</v>
      </c>
      <c r="B40" s="47"/>
      <c r="C40" s="48"/>
      <c r="D40" s="48"/>
      <c r="E40" s="48"/>
    </row>
    <row r="41" spans="1:6" ht="15" hidden="1" customHeight="1">
      <c r="A41" s="35" t="s">
        <v>62</v>
      </c>
      <c r="B41" s="47"/>
      <c r="C41" s="48"/>
      <c r="D41" s="48"/>
      <c r="E41" s="48"/>
    </row>
    <row r="42" spans="1:6" ht="15" customHeight="1">
      <c r="A42" s="7" t="s">
        <v>74</v>
      </c>
      <c r="B42" s="47">
        <f>C42+D42+E42</f>
        <v>101500</v>
      </c>
      <c r="C42" s="48"/>
      <c r="D42" s="48"/>
      <c r="E42" s="48">
        <v>101500</v>
      </c>
    </row>
    <row r="43" spans="1:6" ht="15" customHeight="1">
      <c r="A43" s="7" t="s">
        <v>77</v>
      </c>
      <c r="B43" s="47">
        <f>E43</f>
        <v>80264.38</v>
      </c>
      <c r="C43" s="48">
        <v>0</v>
      </c>
      <c r="D43" s="48">
        <v>0</v>
      </c>
      <c r="E43" s="48">
        <v>80264.38</v>
      </c>
    </row>
    <row r="44" spans="1:6" ht="15" customHeight="1">
      <c r="A44" s="7" t="s">
        <v>43</v>
      </c>
      <c r="B44" s="47">
        <f>18650*12</f>
        <v>223800</v>
      </c>
      <c r="C44" s="48">
        <f>B44*C26</f>
        <v>108085.81032864992</v>
      </c>
      <c r="D44" s="48">
        <f>B44*D26</f>
        <v>59886.005884907259</v>
      </c>
      <c r="E44" s="48">
        <f>B44*E26</f>
        <v>55828.183786442853</v>
      </c>
    </row>
    <row r="45" spans="1:6" ht="15" customHeight="1">
      <c r="A45" s="7" t="s">
        <v>33</v>
      </c>
      <c r="B45" s="47">
        <v>52750</v>
      </c>
      <c r="C45" s="48">
        <f>B45*C26</f>
        <v>25475.989699894028</v>
      </c>
      <c r="D45" s="48">
        <f>B45*D26</f>
        <v>14115.222566706247</v>
      </c>
      <c r="E45" s="48">
        <f>B45*E26</f>
        <v>13158.787733399735</v>
      </c>
    </row>
    <row r="46" spans="1:6" ht="15" customHeight="1">
      <c r="A46" s="7" t="s">
        <v>75</v>
      </c>
      <c r="B46" s="47">
        <f>C46+D46+E46</f>
        <v>77512.659999999989</v>
      </c>
      <c r="C46" s="48">
        <f>38779.68+27300</f>
        <v>66079.679999999993</v>
      </c>
      <c r="D46" s="48">
        <v>0</v>
      </c>
      <c r="E46" s="48">
        <v>11432.98</v>
      </c>
    </row>
    <row r="47" spans="1:6" ht="15" customHeight="1">
      <c r="A47" s="2" t="s">
        <v>5</v>
      </c>
      <c r="B47" s="47">
        <v>11486</v>
      </c>
      <c r="C47" s="48">
        <f>B47*C26</f>
        <v>5547.2458330423278</v>
      </c>
      <c r="D47" s="48">
        <f>B47*D26</f>
        <v>3073.5060929135157</v>
      </c>
      <c r="E47" s="48">
        <f>B47*E26</f>
        <v>2865.2480740441583</v>
      </c>
      <c r="F47" s="12"/>
    </row>
    <row r="48" spans="1:6" ht="15" customHeight="1">
      <c r="A48" s="7" t="s">
        <v>60</v>
      </c>
      <c r="B48" s="47">
        <v>134830.56</v>
      </c>
      <c r="C48" s="48">
        <f>B48*C26</f>
        <v>65117.383086084235</v>
      </c>
      <c r="D48" s="48">
        <f>B48*D26</f>
        <v>36078.926316467121</v>
      </c>
      <c r="E48" s="48">
        <f>B48*E26</f>
        <v>33634.250597448663</v>
      </c>
      <c r="F48" s="12"/>
    </row>
    <row r="49" spans="1:6" ht="15" customHeight="1">
      <c r="A49" s="2" t="s">
        <v>70</v>
      </c>
      <c r="B49" s="47">
        <f>D49</f>
        <v>113510</v>
      </c>
      <c r="C49" s="48">
        <v>0</v>
      </c>
      <c r="D49" s="48">
        <v>113510</v>
      </c>
      <c r="E49" s="48">
        <v>0</v>
      </c>
      <c r="F49" s="12"/>
    </row>
    <row r="50" spans="1:6" ht="29.25" customHeight="1">
      <c r="A50" s="8" t="s">
        <v>71</v>
      </c>
      <c r="B50" s="47">
        <f>D50</f>
        <v>7350</v>
      </c>
      <c r="C50" s="48">
        <v>0</v>
      </c>
      <c r="D50" s="48">
        <v>7350</v>
      </c>
      <c r="E50" s="48">
        <v>0</v>
      </c>
      <c r="F50" s="12"/>
    </row>
    <row r="51" spans="1:6" ht="15" customHeight="1">
      <c r="A51" s="8" t="s">
        <v>73</v>
      </c>
      <c r="B51" s="47">
        <f>C51+D51+E51</f>
        <v>131840</v>
      </c>
      <c r="C51" s="48"/>
      <c r="D51" s="48">
        <v>87894</v>
      </c>
      <c r="E51" s="48">
        <v>43946</v>
      </c>
      <c r="F51" s="12"/>
    </row>
    <row r="52" spans="1:6" ht="15" customHeight="1">
      <c r="A52" s="2" t="s">
        <v>6</v>
      </c>
      <c r="B52" s="47">
        <f>34292.91+14705</f>
        <v>48997.91</v>
      </c>
      <c r="C52" s="48">
        <f>B52*C26</f>
        <v>23663.891004290705</v>
      </c>
      <c r="D52" s="48">
        <f>B52*D26</f>
        <v>13111.211468311691</v>
      </c>
      <c r="E52" s="48">
        <f>B52*E26</f>
        <v>12222.807527397616</v>
      </c>
    </row>
    <row r="53" spans="1:6" ht="15" customHeight="1">
      <c r="A53" s="2" t="s">
        <v>72</v>
      </c>
      <c r="B53" s="47">
        <v>21990</v>
      </c>
      <c r="C53" s="48">
        <f>B53*C26</f>
        <v>10620.227744088525</v>
      </c>
      <c r="D53" s="48">
        <f>B53*D26</f>
        <v>5884.2415970022812</v>
      </c>
      <c r="E53" s="48">
        <f>B53*E26</f>
        <v>5485.530658909197</v>
      </c>
    </row>
    <row r="54" spans="1:6" ht="15" customHeight="1">
      <c r="A54" s="2" t="s">
        <v>69</v>
      </c>
      <c r="B54" s="47">
        <v>23000</v>
      </c>
      <c r="C54" s="48">
        <f>B54*C26</f>
        <v>11108.014466304505</v>
      </c>
      <c r="D54" s="48">
        <f>B54*D26</f>
        <v>6154.5046262415863</v>
      </c>
      <c r="E54" s="48">
        <f>B54*E26</f>
        <v>5737.4809074539126</v>
      </c>
    </row>
    <row r="55" spans="1:6" ht="27.75" customHeight="1">
      <c r="A55" s="8" t="s">
        <v>68</v>
      </c>
      <c r="B55" s="47">
        <f>111515+43100+3300+2000</f>
        <v>159915</v>
      </c>
      <c r="C55" s="48">
        <f>B55*C26</f>
        <v>77232.092755612379</v>
      </c>
      <c r="D55" s="48">
        <f>B55*D26</f>
        <v>42791.200317627096</v>
      </c>
      <c r="E55" s="48">
        <f>B55*E26</f>
        <v>39891.70692676054</v>
      </c>
    </row>
    <row r="56" spans="1:6" ht="15" customHeight="1">
      <c r="A56" s="2" t="s">
        <v>8</v>
      </c>
      <c r="B56" s="47">
        <v>17000</v>
      </c>
      <c r="C56" s="48">
        <f>B56*C26</f>
        <v>8210.2715620511553</v>
      </c>
      <c r="D56" s="48">
        <f>B56*D26</f>
        <v>4548.9816802655205</v>
      </c>
      <c r="E56" s="48">
        <f>B56*E26</f>
        <v>4240.7467576833269</v>
      </c>
    </row>
    <row r="57" spans="1:6" ht="30" customHeight="1">
      <c r="A57" s="8" t="s">
        <v>86</v>
      </c>
      <c r="B57" s="49">
        <f>C57+D57+E57</f>
        <v>42284</v>
      </c>
      <c r="C57" s="50">
        <v>5328</v>
      </c>
      <c r="D57" s="50">
        <v>0</v>
      </c>
      <c r="E57" s="6">
        <f>36956</f>
        <v>36956</v>
      </c>
    </row>
    <row r="58" spans="1:6" ht="14.25" customHeight="1">
      <c r="A58" s="8" t="s">
        <v>87</v>
      </c>
      <c r="B58" s="49">
        <f>C58+D58+E58</f>
        <v>13200</v>
      </c>
      <c r="C58" s="50"/>
      <c r="D58" s="50">
        <v>13200</v>
      </c>
      <c r="E58" s="6">
        <v>0</v>
      </c>
    </row>
    <row r="59" spans="1:6" ht="15" customHeight="1">
      <c r="A59" s="2" t="s">
        <v>65</v>
      </c>
      <c r="B59" s="49">
        <f>C59+D59+E59</f>
        <v>432826.8</v>
      </c>
      <c r="C59" s="6">
        <f>27344.8+75780+176195</f>
        <v>279319.8</v>
      </c>
      <c r="D59" s="6">
        <f>153507</f>
        <v>153507</v>
      </c>
      <c r="E59" s="3">
        <v>0</v>
      </c>
    </row>
    <row r="60" spans="1:6" ht="15" customHeight="1">
      <c r="A60" s="2" t="s">
        <v>89</v>
      </c>
      <c r="B60" s="49">
        <f>C60+D60+E60</f>
        <v>7343</v>
      </c>
      <c r="C60" s="6">
        <v>7343</v>
      </c>
      <c r="D60" s="6">
        <v>0</v>
      </c>
      <c r="E60" s="3">
        <v>0</v>
      </c>
    </row>
    <row r="61" spans="1:6">
      <c r="A61" s="9" t="s">
        <v>45</v>
      </c>
      <c r="B61" s="10">
        <f>SUM(B27:B60)</f>
        <v>15585436.220000003</v>
      </c>
      <c r="C61" s="10">
        <f t="shared" ref="C61:D61" si="3">SUM(C27:C59)</f>
        <v>7391182.8299135473</v>
      </c>
      <c r="D61" s="10">
        <f t="shared" si="3"/>
        <v>4276294.5065938905</v>
      </c>
      <c r="E61" s="10">
        <f>SUM(E27:E57)</f>
        <v>3910615.883492562</v>
      </c>
    </row>
    <row r="62" spans="1:6">
      <c r="C62" s="21"/>
      <c r="D62" s="21"/>
      <c r="E62" s="21"/>
    </row>
    <row r="63" spans="1:6">
      <c r="D63" s="4">
        <f>D61-D20</f>
        <v>3754174.5065938905</v>
      </c>
      <c r="E63" s="4">
        <f>E61-E20</f>
        <v>3424377.383492562</v>
      </c>
    </row>
    <row r="64" spans="1:6">
      <c r="B64" s="4">
        <f>B21-B61</f>
        <v>-1588819.4200000018</v>
      </c>
      <c r="C64" s="4">
        <f>C21-C61</f>
        <v>-1137368.0599135477</v>
      </c>
      <c r="D64" s="4">
        <f>D21-D61</f>
        <v>-69049.846593890339</v>
      </c>
      <c r="E64" s="4">
        <f>E21-E61</f>
        <v>-375058.51349256188</v>
      </c>
    </row>
    <row r="65" spans="2:2">
      <c r="B65" s="4"/>
    </row>
  </sheetData>
  <mergeCells count="12">
    <mergeCell ref="C6:E6"/>
    <mergeCell ref="A23:A24"/>
    <mergeCell ref="C23:E23"/>
    <mergeCell ref="B23:B24"/>
    <mergeCell ref="A2:E2"/>
    <mergeCell ref="A3:E3"/>
    <mergeCell ref="A4:E4"/>
    <mergeCell ref="A9:E9"/>
    <mergeCell ref="B6:B7"/>
    <mergeCell ref="A6:A8"/>
    <mergeCell ref="A16:E16"/>
    <mergeCell ref="A19:E19"/>
  </mergeCells>
  <pageMargins left="1.32" right="0.70866141732283472" top="0.35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topLeftCell="A4" workbookViewId="0">
      <selection activeCell="F24" sqref="F24"/>
    </sheetView>
  </sheetViews>
  <sheetFormatPr defaultRowHeight="15"/>
  <cols>
    <col min="1" max="1" width="35.7109375" customWidth="1"/>
    <col min="2" max="4" width="17.85546875" customWidth="1"/>
    <col min="5" max="5" width="17.7109375" customWidth="1"/>
    <col min="6" max="6" width="18.85546875" customWidth="1"/>
  </cols>
  <sheetData>
    <row r="1" spans="1:6" ht="33.75">
      <c r="A1" s="68" t="s">
        <v>32</v>
      </c>
      <c r="B1" s="68"/>
      <c r="C1" s="68"/>
      <c r="D1" s="68"/>
      <c r="E1" s="68"/>
      <c r="F1" s="68"/>
    </row>
    <row r="3" spans="1:6">
      <c r="A3" s="57" t="s">
        <v>11</v>
      </c>
      <c r="B3" s="57"/>
      <c r="C3" s="57"/>
      <c r="D3" s="57"/>
      <c r="E3" s="57"/>
      <c r="F3" s="57"/>
    </row>
    <row r="4" spans="1:6" ht="30">
      <c r="A4" s="13" t="s">
        <v>12</v>
      </c>
      <c r="B4" s="17" t="s">
        <v>23</v>
      </c>
      <c r="C4" s="13" t="s">
        <v>24</v>
      </c>
      <c r="D4" s="13" t="s">
        <v>25</v>
      </c>
      <c r="E4" s="13" t="s">
        <v>13</v>
      </c>
      <c r="F4" s="13" t="s">
        <v>14</v>
      </c>
    </row>
    <row r="5" spans="1:6" ht="15" customHeight="1">
      <c r="A5" s="2" t="s">
        <v>15</v>
      </c>
      <c r="B5" s="2">
        <v>1</v>
      </c>
      <c r="C5" s="3">
        <v>70000</v>
      </c>
      <c r="D5" s="3">
        <f>C5*B5</f>
        <v>70000</v>
      </c>
      <c r="E5" s="3">
        <f>D5*30.2%</f>
        <v>21140</v>
      </c>
      <c r="F5" s="3">
        <f>(D5+E5)*12</f>
        <v>1093680</v>
      </c>
    </row>
    <row r="6" spans="1:6" ht="15" customHeight="1">
      <c r="A6" s="2" t="s">
        <v>16</v>
      </c>
      <c r="B6" s="2">
        <v>1</v>
      </c>
      <c r="C6" s="3">
        <v>60000</v>
      </c>
      <c r="D6" s="3">
        <f t="shared" ref="D6:D12" si="0">C6*B6</f>
        <v>60000</v>
      </c>
      <c r="E6" s="3">
        <f t="shared" ref="E6:E12" si="1">D6*30.2%</f>
        <v>18120</v>
      </c>
      <c r="F6" s="3">
        <f t="shared" ref="F6:F12" si="2">(D6+E6)*12</f>
        <v>937440</v>
      </c>
    </row>
    <row r="7" spans="1:6" ht="15" customHeight="1">
      <c r="A7" s="2" t="s">
        <v>20</v>
      </c>
      <c r="B7" s="2">
        <v>1</v>
      </c>
      <c r="C7" s="3">
        <v>60000</v>
      </c>
      <c r="D7" s="3">
        <f t="shared" si="0"/>
        <v>60000</v>
      </c>
      <c r="E7" s="3">
        <f t="shared" si="1"/>
        <v>18120</v>
      </c>
      <c r="F7" s="3">
        <f t="shared" si="2"/>
        <v>937440</v>
      </c>
    </row>
    <row r="8" spans="1:6" ht="15" customHeight="1">
      <c r="A8" s="2" t="s">
        <v>19</v>
      </c>
      <c r="B8" s="2">
        <v>1</v>
      </c>
      <c r="C8" s="3">
        <v>40000</v>
      </c>
      <c r="D8" s="3">
        <f t="shared" si="0"/>
        <v>40000</v>
      </c>
      <c r="E8" s="3">
        <f t="shared" si="1"/>
        <v>12080</v>
      </c>
      <c r="F8" s="3">
        <f t="shared" si="2"/>
        <v>624960</v>
      </c>
    </row>
    <row r="9" spans="1:6" ht="15" customHeight="1">
      <c r="A9" s="2" t="s">
        <v>17</v>
      </c>
      <c r="B9" s="2">
        <v>2</v>
      </c>
      <c r="C9" s="3">
        <v>40000</v>
      </c>
      <c r="D9" s="3">
        <f t="shared" si="0"/>
        <v>80000</v>
      </c>
      <c r="E9" s="3">
        <f t="shared" si="1"/>
        <v>24160</v>
      </c>
      <c r="F9" s="3">
        <f t="shared" si="2"/>
        <v>1249920</v>
      </c>
    </row>
    <row r="10" spans="1:6" ht="15" customHeight="1">
      <c r="A10" s="2" t="s">
        <v>18</v>
      </c>
      <c r="B10" s="2">
        <v>1</v>
      </c>
      <c r="C10" s="3">
        <v>35000</v>
      </c>
      <c r="D10" s="3">
        <f t="shared" si="0"/>
        <v>35000</v>
      </c>
      <c r="E10" s="3">
        <f t="shared" si="1"/>
        <v>10570</v>
      </c>
      <c r="F10" s="3">
        <f t="shared" si="2"/>
        <v>546840</v>
      </c>
    </row>
    <row r="11" spans="1:6" ht="15" customHeight="1">
      <c r="A11" s="8" t="s">
        <v>21</v>
      </c>
      <c r="B11" s="8">
        <v>1</v>
      </c>
      <c r="C11" s="3">
        <v>30000</v>
      </c>
      <c r="D11" s="3">
        <f t="shared" si="0"/>
        <v>30000</v>
      </c>
      <c r="E11" s="3">
        <f t="shared" si="1"/>
        <v>9060</v>
      </c>
      <c r="F11" s="3">
        <f t="shared" si="2"/>
        <v>468720</v>
      </c>
    </row>
    <row r="12" spans="1:6" ht="15" customHeight="1">
      <c r="A12" s="8" t="s">
        <v>80</v>
      </c>
      <c r="B12" s="8">
        <v>1</v>
      </c>
      <c r="C12" s="3">
        <v>30000</v>
      </c>
      <c r="D12" s="3">
        <f t="shared" si="0"/>
        <v>30000</v>
      </c>
      <c r="E12" s="3">
        <f t="shared" si="1"/>
        <v>9060</v>
      </c>
      <c r="F12" s="3">
        <f t="shared" si="2"/>
        <v>468720</v>
      </c>
    </row>
    <row r="13" spans="1:6">
      <c r="A13" s="16" t="s">
        <v>22</v>
      </c>
      <c r="B13" s="16">
        <f>SUM(B5:B12)</f>
        <v>9</v>
      </c>
      <c r="C13" s="10">
        <f>SUM(C5:C12)</f>
        <v>365000</v>
      </c>
      <c r="D13" s="10">
        <f>SUM(D5:D12)</f>
        <v>405000</v>
      </c>
      <c r="E13" s="10">
        <f>SUM(E5:E12)</f>
        <v>122310</v>
      </c>
      <c r="F13" s="10">
        <f>SUM(F5:F12)</f>
        <v>6327720</v>
      </c>
    </row>
    <row r="14" spans="1:6">
      <c r="C14" s="4"/>
      <c r="D14" s="4"/>
      <c r="E14" s="4"/>
      <c r="F14" s="4"/>
    </row>
    <row r="15" spans="1:6">
      <c r="A15" s="57" t="s">
        <v>26</v>
      </c>
      <c r="B15" s="57"/>
      <c r="C15" s="57"/>
      <c r="D15" s="57"/>
      <c r="E15" s="57"/>
      <c r="F15" s="57"/>
    </row>
    <row r="16" spans="1:6" ht="30">
      <c r="A16" s="13" t="s">
        <v>12</v>
      </c>
      <c r="B16" s="17" t="s">
        <v>23</v>
      </c>
      <c r="C16" s="13" t="s">
        <v>24</v>
      </c>
      <c r="D16" s="13" t="s">
        <v>25</v>
      </c>
      <c r="E16" s="13" t="s">
        <v>13</v>
      </c>
      <c r="F16" s="13" t="s">
        <v>14</v>
      </c>
    </row>
    <row r="17" spans="1:6">
      <c r="A17" s="2" t="s">
        <v>27</v>
      </c>
      <c r="B17" s="2">
        <v>1</v>
      </c>
      <c r="C17" s="3">
        <v>29000</v>
      </c>
      <c r="D17" s="3">
        <f>B17*C17</f>
        <v>29000</v>
      </c>
      <c r="E17" s="3">
        <f>D17*30.2%</f>
        <v>8758</v>
      </c>
      <c r="F17" s="3">
        <f>(D17+E17)*12</f>
        <v>453096</v>
      </c>
    </row>
    <row r="18" spans="1:6">
      <c r="A18" s="2" t="s">
        <v>28</v>
      </c>
      <c r="B18" s="2">
        <v>1</v>
      </c>
      <c r="C18" s="3">
        <v>35000</v>
      </c>
      <c r="D18" s="3">
        <f t="shared" ref="D18:D21" si="3">B18*C18</f>
        <v>35000</v>
      </c>
      <c r="E18" s="3">
        <f t="shared" ref="E18:E21" si="4">D18*30.2%</f>
        <v>10570</v>
      </c>
      <c r="F18" s="3">
        <f t="shared" ref="F18:F21" si="5">(D18+E18)*12</f>
        <v>546840</v>
      </c>
    </row>
    <row r="19" spans="1:6">
      <c r="A19" s="2" t="s">
        <v>29</v>
      </c>
      <c r="B19" s="2">
        <v>1</v>
      </c>
      <c r="C19" s="3">
        <v>35000</v>
      </c>
      <c r="D19" s="3">
        <f t="shared" si="3"/>
        <v>35000</v>
      </c>
      <c r="E19" s="3">
        <f t="shared" si="4"/>
        <v>10570</v>
      </c>
      <c r="F19" s="3">
        <f t="shared" si="5"/>
        <v>546840</v>
      </c>
    </row>
    <row r="20" spans="1:6">
      <c r="A20" s="2" t="s">
        <v>30</v>
      </c>
      <c r="B20" s="2">
        <v>3</v>
      </c>
      <c r="C20" s="3">
        <v>20000</v>
      </c>
      <c r="D20" s="3">
        <f t="shared" si="3"/>
        <v>60000</v>
      </c>
      <c r="E20" s="3">
        <f t="shared" si="4"/>
        <v>18120</v>
      </c>
      <c r="F20" s="3">
        <f t="shared" si="5"/>
        <v>937440</v>
      </c>
    </row>
    <row r="21" spans="1:6">
      <c r="A21" s="2" t="s">
        <v>31</v>
      </c>
      <c r="B21" s="2">
        <v>3</v>
      </c>
      <c r="C21" s="3">
        <v>20000</v>
      </c>
      <c r="D21" s="3">
        <f t="shared" si="3"/>
        <v>60000</v>
      </c>
      <c r="E21" s="3">
        <f t="shared" si="4"/>
        <v>18120</v>
      </c>
      <c r="F21" s="3">
        <f t="shared" si="5"/>
        <v>937440</v>
      </c>
    </row>
    <row r="22" spans="1:6">
      <c r="A22" s="16" t="s">
        <v>22</v>
      </c>
      <c r="B22" s="16">
        <f>SUM(B17:B21)</f>
        <v>9</v>
      </c>
      <c r="C22" s="10">
        <f>SUM(C17:C21)</f>
        <v>139000</v>
      </c>
      <c r="D22" s="10">
        <f>SUM(D17:D21)</f>
        <v>219000</v>
      </c>
      <c r="E22" s="10">
        <f>SUM(E17:E21)</f>
        <v>66138</v>
      </c>
      <c r="F22" s="10">
        <f>SUM(F17:F21)</f>
        <v>3421656</v>
      </c>
    </row>
    <row r="24" spans="1:6">
      <c r="F24" s="4"/>
    </row>
  </sheetData>
  <mergeCells count="3">
    <mergeCell ref="A3:F3"/>
    <mergeCell ref="A15:F15"/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topLeftCell="C1" workbookViewId="0">
      <selection activeCell="L6" sqref="L6"/>
    </sheetView>
  </sheetViews>
  <sheetFormatPr defaultRowHeight="15"/>
  <cols>
    <col min="1" max="1" width="32.7109375" customWidth="1"/>
    <col min="2" max="12" width="18.7109375" customWidth="1"/>
  </cols>
  <sheetData>
    <row r="1" spans="1:14" ht="26.25">
      <c r="A1" s="72" t="s">
        <v>49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32"/>
      <c r="N1" s="32"/>
    </row>
    <row r="2" spans="1:14" ht="26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4" s="22" customFormat="1" ht="26.25" customHeight="1">
      <c r="A3" s="69" t="s">
        <v>46</v>
      </c>
      <c r="B3" s="76" t="s">
        <v>2</v>
      </c>
      <c r="C3" s="76"/>
      <c r="D3" s="76"/>
      <c r="E3" s="76"/>
      <c r="F3" s="76"/>
      <c r="G3" s="76"/>
      <c r="H3" s="76"/>
      <c r="I3" s="76"/>
      <c r="J3" s="76"/>
      <c r="K3" s="73" t="s">
        <v>83</v>
      </c>
      <c r="L3" s="74" t="s">
        <v>88</v>
      </c>
    </row>
    <row r="4" spans="1:14" s="22" customFormat="1" ht="26.25" customHeight="1">
      <c r="A4" s="70"/>
      <c r="B4" s="75" t="s">
        <v>48</v>
      </c>
      <c r="C4" s="75"/>
      <c r="D4" s="75"/>
      <c r="E4" s="76">
        <v>12</v>
      </c>
      <c r="F4" s="76"/>
      <c r="G4" s="76"/>
      <c r="H4" s="76">
        <v>16</v>
      </c>
      <c r="I4" s="76"/>
      <c r="J4" s="76"/>
      <c r="K4" s="73"/>
      <c r="L4" s="74"/>
    </row>
    <row r="5" spans="1:14" s="22" customFormat="1" ht="31.5">
      <c r="A5" s="71"/>
      <c r="B5" s="38" t="s">
        <v>81</v>
      </c>
      <c r="C5" s="39" t="s">
        <v>82</v>
      </c>
      <c r="D5" s="39" t="s">
        <v>84</v>
      </c>
      <c r="E5" s="38" t="s">
        <v>81</v>
      </c>
      <c r="F5" s="39" t="s">
        <v>82</v>
      </c>
      <c r="G5" s="39" t="s">
        <v>84</v>
      </c>
      <c r="H5" s="38" t="s">
        <v>81</v>
      </c>
      <c r="I5" s="39" t="s">
        <v>82</v>
      </c>
      <c r="J5" s="39" t="s">
        <v>84</v>
      </c>
      <c r="K5" s="73"/>
      <c r="L5" s="74"/>
      <c r="M5" s="40"/>
    </row>
    <row r="6" spans="1:14" s="22" customFormat="1" ht="15.75">
      <c r="A6" s="41" t="s">
        <v>47</v>
      </c>
      <c r="B6" s="41">
        <v>500</v>
      </c>
      <c r="C6" s="42">
        <f>B6*12</f>
        <v>6000</v>
      </c>
      <c r="D6" s="42">
        <v>6000</v>
      </c>
      <c r="E6" s="41">
        <v>500</v>
      </c>
      <c r="F6" s="42">
        <f>E6*12</f>
        <v>6000</v>
      </c>
      <c r="G6" s="42">
        <v>6000</v>
      </c>
      <c r="H6" s="41">
        <v>500</v>
      </c>
      <c r="I6" s="42">
        <f>H6*12</f>
        <v>6000</v>
      </c>
      <c r="J6" s="42">
        <v>6000</v>
      </c>
      <c r="K6" s="42">
        <f>C6+F6+I6</f>
        <v>18000</v>
      </c>
      <c r="L6" s="42">
        <f>D6+G6+J6</f>
        <v>18000</v>
      </c>
    </row>
    <row r="7" spans="1:14" s="22" customFormat="1" ht="15.75">
      <c r="A7" s="41" t="s">
        <v>53</v>
      </c>
      <c r="B7" s="41">
        <v>500</v>
      </c>
      <c r="C7" s="42">
        <f>B7*12</f>
        <v>6000</v>
      </c>
      <c r="D7" s="42">
        <v>6000</v>
      </c>
      <c r="E7" s="41">
        <v>500</v>
      </c>
      <c r="F7" s="42">
        <f>E7*12</f>
        <v>6000</v>
      </c>
      <c r="G7" s="42">
        <v>6000</v>
      </c>
      <c r="H7" s="41">
        <v>500</v>
      </c>
      <c r="I7" s="42">
        <f>H7*12</f>
        <v>6000</v>
      </c>
      <c r="J7" s="42">
        <v>6000</v>
      </c>
      <c r="K7" s="42">
        <f t="shared" ref="K7:K11" si="0">C7+F7+I7</f>
        <v>18000</v>
      </c>
      <c r="L7" s="42">
        <f t="shared" ref="L7:L10" si="1">D7+G7+J7</f>
        <v>18000</v>
      </c>
    </row>
    <row r="8" spans="1:14" s="22" customFormat="1" ht="15.75">
      <c r="A8" s="41" t="s">
        <v>50</v>
      </c>
      <c r="B8" s="41">
        <v>703</v>
      </c>
      <c r="C8" s="42">
        <f t="shared" ref="C8:C10" si="2">B8*12</f>
        <v>8436</v>
      </c>
      <c r="D8" s="42">
        <f>B8*9</f>
        <v>6327</v>
      </c>
      <c r="E8" s="42">
        <v>1154.25</v>
      </c>
      <c r="F8" s="42">
        <f t="shared" ref="F8:F10" si="3">E8*12</f>
        <v>13851</v>
      </c>
      <c r="G8" s="42">
        <f>E8*9</f>
        <v>10388.25</v>
      </c>
      <c r="H8" s="42">
        <v>0</v>
      </c>
      <c r="I8" s="42">
        <f t="shared" ref="I8:I10" si="4">H8*12</f>
        <v>0</v>
      </c>
      <c r="J8" s="46">
        <v>0</v>
      </c>
      <c r="K8" s="42">
        <f t="shared" si="0"/>
        <v>22287</v>
      </c>
      <c r="L8" s="42">
        <f t="shared" si="1"/>
        <v>16715.25</v>
      </c>
    </row>
    <row r="9" spans="1:14" s="22" customFormat="1" ht="15.75">
      <c r="A9" s="41" t="s">
        <v>51</v>
      </c>
      <c r="B9" s="41">
        <v>1000</v>
      </c>
      <c r="C9" s="42">
        <f t="shared" si="2"/>
        <v>12000</v>
      </c>
      <c r="D9" s="42">
        <v>12000</v>
      </c>
      <c r="E9" s="42">
        <v>1000</v>
      </c>
      <c r="F9" s="42">
        <f t="shared" si="3"/>
        <v>12000</v>
      </c>
      <c r="G9" s="42">
        <v>12000</v>
      </c>
      <c r="H9" s="42">
        <v>1000</v>
      </c>
      <c r="I9" s="42">
        <f t="shared" si="4"/>
        <v>12000</v>
      </c>
      <c r="J9" s="42">
        <v>12000</v>
      </c>
      <c r="K9" s="42">
        <f t="shared" si="0"/>
        <v>36000</v>
      </c>
      <c r="L9" s="42">
        <f t="shared" si="1"/>
        <v>36000</v>
      </c>
    </row>
    <row r="10" spans="1:14" s="22" customFormat="1" ht="15.75">
      <c r="A10" s="41" t="s">
        <v>52</v>
      </c>
      <c r="B10" s="41">
        <v>500</v>
      </c>
      <c r="C10" s="42">
        <f t="shared" si="2"/>
        <v>6000</v>
      </c>
      <c r="D10" s="42">
        <v>4500</v>
      </c>
      <c r="E10" s="42">
        <v>500</v>
      </c>
      <c r="F10" s="42">
        <f t="shared" si="3"/>
        <v>6000</v>
      </c>
      <c r="G10" s="42">
        <v>4500</v>
      </c>
      <c r="H10" s="42">
        <v>500</v>
      </c>
      <c r="I10" s="42">
        <f t="shared" si="4"/>
        <v>6000</v>
      </c>
      <c r="J10" s="42">
        <v>4500</v>
      </c>
      <c r="K10" s="42">
        <f t="shared" si="0"/>
        <v>18000</v>
      </c>
      <c r="L10" s="42">
        <f t="shared" si="1"/>
        <v>13500</v>
      </c>
    </row>
    <row r="11" spans="1:14" s="37" customFormat="1" ht="18.75">
      <c r="A11" s="43" t="s">
        <v>22</v>
      </c>
      <c r="B11" s="44" t="s">
        <v>85</v>
      </c>
      <c r="C11" s="36">
        <f>SUM(C6:C10)</f>
        <v>38436</v>
      </c>
      <c r="D11" s="36">
        <f>SUM(D6:D10)</f>
        <v>34827</v>
      </c>
      <c r="E11" s="44" t="s">
        <v>85</v>
      </c>
      <c r="F11" s="36">
        <f>SUM(F6:F10)</f>
        <v>43851</v>
      </c>
      <c r="G11" s="36">
        <f>SUM(G6:G10)</f>
        <v>38888.25</v>
      </c>
      <c r="H11" s="44" t="s">
        <v>85</v>
      </c>
      <c r="I11" s="36">
        <f>SUM(I6:I10)</f>
        <v>30000</v>
      </c>
      <c r="J11" s="36">
        <f>SUM(J6:J10)</f>
        <v>28500</v>
      </c>
      <c r="K11" s="45">
        <f t="shared" si="0"/>
        <v>112287</v>
      </c>
      <c r="L11" s="36">
        <f>SUM(L6:L10)</f>
        <v>102215.25</v>
      </c>
    </row>
  </sheetData>
  <mergeCells count="8">
    <mergeCell ref="A3:A5"/>
    <mergeCell ref="A1:L1"/>
    <mergeCell ref="K3:K5"/>
    <mergeCell ref="L3:L5"/>
    <mergeCell ref="B4:D4"/>
    <mergeCell ref="E4:G4"/>
    <mergeCell ref="H4:J4"/>
    <mergeCell ref="B3:J3"/>
  </mergeCells>
  <pageMargins left="0.28000000000000003" right="0.26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</vt:lpstr>
      <vt:lpstr>расшифровка ФОТ</vt:lpstr>
      <vt:lpstr>провайдеры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2020-04-08T12:51:35Z</dcterms:modified>
</cp:coreProperties>
</file>